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22836" windowHeight="8892"/>
  </bookViews>
  <sheets>
    <sheet name="40MM kg Facility" sheetId="6" r:id="rId1"/>
    <sheet name="Utility Data" sheetId="1" r:id="rId2"/>
    <sheet name="Notes &amp; Quallifications" sheetId="3" r:id="rId3"/>
  </sheets>
  <externalReferences>
    <externalReference r:id="rId4"/>
  </externalReferences>
  <definedNames>
    <definedName name="_xlnm.Print_Area" localSheetId="0">'40MM kg Facility'!$A$1:$I$132</definedName>
    <definedName name="_xlnm.Print_Area" localSheetId="1">'Utility Data'!$A$1:$M$57</definedName>
  </definedNames>
  <calcPr calcId="145621"/>
</workbook>
</file>

<file path=xl/calcChain.xml><?xml version="1.0" encoding="utf-8"?>
<calcChain xmlns="http://schemas.openxmlformats.org/spreadsheetml/2006/main">
  <c r="G13" i="6" l="1"/>
  <c r="G7" i="6"/>
  <c r="G5" i="6"/>
  <c r="F11" i="6"/>
  <c r="D23" i="6"/>
  <c r="D21" i="6"/>
  <c r="D13" i="6"/>
  <c r="D11" i="6"/>
  <c r="D7" i="6"/>
  <c r="C23" i="6"/>
  <c r="C21" i="6"/>
  <c r="C19" i="6"/>
  <c r="C17" i="6"/>
  <c r="C15" i="6"/>
  <c r="C13" i="6"/>
  <c r="C11" i="6"/>
  <c r="C9" i="6"/>
  <c r="C7" i="6"/>
  <c r="C5" i="6"/>
  <c r="K96" i="6" l="1"/>
  <c r="K94" i="6"/>
  <c r="K92" i="6"/>
  <c r="K86" i="6"/>
  <c r="K82" i="6"/>
  <c r="E46" i="6" l="1"/>
  <c r="E48" i="6" l="1"/>
  <c r="E74" i="6" s="1"/>
  <c r="D48" i="6"/>
  <c r="D74" i="6" s="1"/>
  <c r="D100" i="6" s="1"/>
  <c r="C44" i="6"/>
  <c r="C70" i="6" s="1"/>
  <c r="C96" i="6" l="1"/>
  <c r="H70" i="6"/>
  <c r="H96" i="6" l="1"/>
  <c r="J96" i="6"/>
  <c r="F36" i="6"/>
  <c r="D46" i="6"/>
  <c r="E38" i="6"/>
  <c r="D36" i="6"/>
  <c r="E32" i="6"/>
  <c r="G38" i="6" l="1"/>
  <c r="G64" i="6" s="1"/>
  <c r="E36" i="6"/>
  <c r="E62" i="6" s="1"/>
  <c r="E88" i="6" s="1"/>
  <c r="K88" i="6" s="1"/>
  <c r="E72" i="6"/>
  <c r="E98" i="6" s="1"/>
  <c r="K98" i="6" s="1"/>
  <c r="D38" i="6"/>
  <c r="D64" i="6" s="1"/>
  <c r="D90" i="6" s="1"/>
  <c r="D32" i="6"/>
  <c r="G24" i="6"/>
  <c r="D62" i="6"/>
  <c r="D88" i="6" s="1"/>
  <c r="C42" i="6"/>
  <c r="C68" i="6" s="1"/>
  <c r="C38" i="6"/>
  <c r="C64" i="6" s="1"/>
  <c r="C90" i="6" s="1"/>
  <c r="C32" i="6"/>
  <c r="C58" i="6" s="1"/>
  <c r="C84" i="6" s="1"/>
  <c r="C48" i="6"/>
  <c r="C74" i="6" s="1"/>
  <c r="C46" i="6"/>
  <c r="C72" i="6" s="1"/>
  <c r="F62" i="6"/>
  <c r="E100" i="6"/>
  <c r="K100" i="6" s="1"/>
  <c r="F24" i="6"/>
  <c r="E58" i="6"/>
  <c r="F106" i="6"/>
  <c r="C30" i="6"/>
  <c r="C56" i="6" s="1"/>
  <c r="C34" i="6"/>
  <c r="C60" i="6" s="1"/>
  <c r="C36" i="6"/>
  <c r="C62" i="6" s="1"/>
  <c r="C88" i="6" s="1"/>
  <c r="C40" i="6"/>
  <c r="C66" i="6" s="1"/>
  <c r="E86" i="6"/>
  <c r="E13" i="1"/>
  <c r="G30" i="6" s="1"/>
  <c r="G56" i="6" s="1"/>
  <c r="E11" i="1"/>
  <c r="F49" i="6"/>
  <c r="D24" i="6"/>
  <c r="D72" i="6"/>
  <c r="D98" i="6" s="1"/>
  <c r="E64" i="6"/>
  <c r="E90" i="6" s="1"/>
  <c r="K90" i="6" s="1"/>
  <c r="C24" i="6"/>
  <c r="D49" i="6" l="1"/>
  <c r="D58" i="6"/>
  <c r="D84" i="6" s="1"/>
  <c r="D101" i="6" s="1"/>
  <c r="H56" i="6"/>
  <c r="E49" i="6"/>
  <c r="G32" i="6"/>
  <c r="G58" i="6" s="1"/>
  <c r="G84" i="6" s="1"/>
  <c r="C49" i="6"/>
  <c r="C92" i="6"/>
  <c r="H66" i="6"/>
  <c r="C86" i="6"/>
  <c r="H60" i="6"/>
  <c r="C100" i="6"/>
  <c r="H74" i="6"/>
  <c r="C98" i="6"/>
  <c r="H72" i="6"/>
  <c r="C94" i="6"/>
  <c r="H68" i="6"/>
  <c r="H62" i="6"/>
  <c r="G90" i="6"/>
  <c r="H90" i="6" s="1"/>
  <c r="H64" i="6"/>
  <c r="E84" i="6"/>
  <c r="E75" i="6"/>
  <c r="E124" i="6" s="1"/>
  <c r="F88" i="6"/>
  <c r="F101" i="6" s="1"/>
  <c r="F75" i="6"/>
  <c r="D113" i="6" s="1"/>
  <c r="G82" i="6"/>
  <c r="C75" i="6"/>
  <c r="D111" i="6" s="1"/>
  <c r="C82" i="6"/>
  <c r="J82" i="6" l="1"/>
  <c r="E101" i="6"/>
  <c r="K84" i="6"/>
  <c r="H98" i="6"/>
  <c r="J98" i="6"/>
  <c r="H100" i="6"/>
  <c r="J100" i="6"/>
  <c r="H86" i="6"/>
  <c r="J86" i="6"/>
  <c r="J90" i="6"/>
  <c r="H94" i="6"/>
  <c r="J94" i="6"/>
  <c r="H92" i="6"/>
  <c r="J92" i="6"/>
  <c r="J84" i="6"/>
  <c r="J88" i="6"/>
  <c r="G75" i="6"/>
  <c r="D114" i="6" s="1"/>
  <c r="D75" i="6"/>
  <c r="D112" i="6" s="1"/>
  <c r="H84" i="6"/>
  <c r="G101" i="6"/>
  <c r="H58" i="6"/>
  <c r="H75" i="6" s="1"/>
  <c r="I70" i="6" s="1"/>
  <c r="G49" i="6"/>
  <c r="H88" i="6"/>
  <c r="E106" i="6"/>
  <c r="H106" i="6" s="1"/>
  <c r="I106" i="6" s="1"/>
  <c r="H82" i="6"/>
  <c r="C101" i="6"/>
  <c r="E115" i="6" l="1"/>
  <c r="E131" i="6" s="1"/>
  <c r="E123" i="6"/>
  <c r="E122" i="6" s="1"/>
  <c r="I72" i="6"/>
  <c r="I60" i="6"/>
  <c r="I68" i="6"/>
  <c r="I66" i="6"/>
  <c r="I74" i="6"/>
  <c r="I62" i="6"/>
  <c r="I56" i="6"/>
  <c r="I58" i="6"/>
  <c r="I64" i="6"/>
  <c r="H101" i="6"/>
  <c r="H115" i="6" l="1"/>
  <c r="I82" i="6"/>
  <c r="I96" i="6"/>
  <c r="I75" i="6"/>
  <c r="I98" i="6"/>
  <c r="I84" i="6"/>
  <c r="I94" i="6"/>
  <c r="I86" i="6"/>
  <c r="I90" i="6"/>
  <c r="I100" i="6"/>
  <c r="I92" i="6"/>
  <c r="I88" i="6"/>
  <c r="E130" i="6" l="1"/>
  <c r="E129" i="6" s="1"/>
  <c r="I115" i="6"/>
  <c r="I117" i="6" s="1"/>
  <c r="H117" i="6"/>
  <c r="I101" i="6"/>
  <c r="E132" i="6" l="1"/>
</calcChain>
</file>

<file path=xl/comments1.xml><?xml version="1.0" encoding="utf-8"?>
<comments xmlns="http://schemas.openxmlformats.org/spreadsheetml/2006/main">
  <authors>
    <author>Winnie Yee</author>
  </authors>
  <commentList>
    <comment ref="A19" authorId="0">
      <text>
        <r>
          <rPr>
            <sz val="9"/>
            <color indexed="81"/>
            <rFont val="Tahoma"/>
            <family val="2"/>
          </rPr>
          <t xml:space="preserve">An electricity index of 13.5 KWh/m2/d (1.25 KWh/ft2/d) was used for cold storage.
</t>
        </r>
      </text>
    </comment>
  </commentList>
</comments>
</file>

<file path=xl/sharedStrings.xml><?xml version="1.0" encoding="utf-8"?>
<sst xmlns="http://schemas.openxmlformats.org/spreadsheetml/2006/main" count="210" uniqueCount="129">
  <si>
    <t>Electrical</t>
  </si>
  <si>
    <t xml:space="preserve">Cooling Water </t>
  </si>
  <si>
    <t>Chilled Water</t>
  </si>
  <si>
    <t>Process Electrical</t>
  </si>
  <si>
    <t>Natural Gas</t>
  </si>
  <si>
    <t>Section</t>
  </si>
  <si>
    <t>Milk Pasturization</t>
  </si>
  <si>
    <t>Cream Pasturization</t>
  </si>
  <si>
    <t>Process Steam</t>
  </si>
  <si>
    <t>kw/Mlbs steam</t>
  </si>
  <si>
    <t>Use 20% efficency loss</t>
  </si>
  <si>
    <t>kw/ lb ct water</t>
  </si>
  <si>
    <t>Basis Nat Gas</t>
  </si>
  <si>
    <t>If Coal use 1.0 kw/ m lbs steam</t>
  </si>
  <si>
    <t>EPA  Studies</t>
  </si>
  <si>
    <t>Richardson = .067 kw/ ton refrigeration ( add ad'l pumps)</t>
  </si>
  <si>
    <t>Total</t>
  </si>
  <si>
    <t>kWh / yr</t>
  </si>
  <si>
    <t>Milk Standardization</t>
  </si>
  <si>
    <t>Bare #</t>
  </si>
  <si>
    <t>Bare +25%</t>
  </si>
  <si>
    <t>Nat Gas - 1.20 BTU's</t>
  </si>
  <si>
    <t>Totals</t>
  </si>
  <si>
    <t>Kw/h  Reqd</t>
  </si>
  <si>
    <t>Kwh Reqd</t>
  </si>
  <si>
    <t>Chilled Water ( Glycol) in Superpro at 5.5046 kcal / kg</t>
  </si>
  <si>
    <t>1 kcal = 3.97 btu</t>
  </si>
  <si>
    <t>Chilled Water =</t>
  </si>
  <si>
    <t>Btu / kg</t>
  </si>
  <si>
    <t>1 Ton Refrigeration = 12000 Btu/hr</t>
  </si>
  <si>
    <t xml:space="preserve">1 Ton Refrigeration </t>
  </si>
  <si>
    <t>kg/ chilled water</t>
  </si>
  <si>
    <t>Electric Requiremets vary from .7 kw/ TR to 3 kw/ TR</t>
  </si>
  <si>
    <t>Use for electrical ( kw/ TR)</t>
  </si>
  <si>
    <t>kw / TR</t>
  </si>
  <si>
    <t>Ton Refrigeration</t>
  </si>
  <si>
    <t>Table 1  Inputs From Superpro</t>
  </si>
  <si>
    <t>Table 3  Inputs From Table 2 Converted to Electrical kwh &amp; BTU Nat Gas</t>
  </si>
  <si>
    <t>Table 2  Inputs From Table 1 Converted to Electrical, Nat Gas  and Tons Refrigeration</t>
  </si>
  <si>
    <t xml:space="preserve"> </t>
  </si>
  <si>
    <t>kilowatt hrs to BTU's</t>
  </si>
  <si>
    <t>BTU's / kwh</t>
  </si>
  <si>
    <t>BTU's</t>
  </si>
  <si>
    <t>Steam Electrical</t>
  </si>
  <si>
    <t>Steam   Nat Gas</t>
  </si>
  <si>
    <t>Energy Use    %</t>
  </si>
  <si>
    <t>1) Cooling for storage tanks</t>
  </si>
  <si>
    <t>temperatures but have not inlcuded cooling losses in the storage tanks.</t>
  </si>
  <si>
    <t>2) Power requiremtns for pumps</t>
  </si>
  <si>
    <t>3)  Power for chilled water</t>
  </si>
  <si>
    <t>We have used an average number of 2 kw / ton of refrigeration but recognize that this</t>
  </si>
  <si>
    <t>can vary depending on the refrigeration system used.</t>
  </si>
  <si>
    <t>General</t>
  </si>
  <si>
    <t>Utility Consumers - Conversion Factors</t>
  </si>
  <si>
    <t>Table 5 Greenhouse Gas Emissions</t>
  </si>
  <si>
    <t xml:space="preserve"> ( From Table 3)</t>
  </si>
  <si>
    <t>Total Natural Gas Required - BTU's</t>
  </si>
  <si>
    <t>Total Electricity Reqd - kW</t>
  </si>
  <si>
    <t xml:space="preserve">  Process</t>
  </si>
  <si>
    <t xml:space="preserve"> Cooling Water</t>
  </si>
  <si>
    <t xml:space="preserve"> Chilled Water</t>
  </si>
  <si>
    <t>Pounds CO2 Equiv</t>
  </si>
  <si>
    <t>CO2 Coversion Factors          Lbs CO2 / Unit</t>
  </si>
  <si>
    <t>Sources</t>
  </si>
  <si>
    <t xml:space="preserve">ERRC study on Enrergy useages in 40, 90  and 300 million galls / year dairy </t>
  </si>
  <si>
    <t>processing facilities</t>
  </si>
  <si>
    <t>Greenhouse Gas Emissions From the Use of Electricity and Natural Gas</t>
  </si>
  <si>
    <t>Reference : Soure Energy and Emission Factors for Energy Use in Buildings</t>
  </si>
  <si>
    <t>M. Deru &amp; P. Torcellini</t>
  </si>
  <si>
    <t>NREL  Technical Report  # NREL/TP-55--38617</t>
  </si>
  <si>
    <t>Revised June 2007</t>
  </si>
  <si>
    <t xml:space="preserve">Greenhouse Gas Emissions From the Use of Electricity </t>
  </si>
  <si>
    <t xml:space="preserve">From Table 3, Page 8  of NREL report </t>
  </si>
  <si>
    <t xml:space="preserve">CO2 equivlents total emisions for delivered electricity  on a national basis= </t>
  </si>
  <si>
    <t>1.67 pounds of CO2 equivlents / kWh electricity</t>
  </si>
  <si>
    <t>No additional CO2 equivlents are produced during the use of the electricity</t>
  </si>
  <si>
    <t>Greenhouse Gas Emissions From the Use of Natural Gas</t>
  </si>
  <si>
    <t>Sum of emissions from Delivering the Natural Gas  plus combusting the natural gas</t>
  </si>
  <si>
    <t>From Table 6, Page 9 of NREL reference</t>
  </si>
  <si>
    <t xml:space="preserve">CO2 equivlents total emisions for delivered natural gas  on a national basis= </t>
  </si>
  <si>
    <t>27.8 pounds of CO2 equivlents per  thousand cubic feet of natural gas</t>
  </si>
  <si>
    <t>1,030,000 BTU's = 1,000 cubic feet natural gas</t>
  </si>
  <si>
    <t>From Table 8, Page 11 of NREL reference</t>
  </si>
  <si>
    <t xml:space="preserve">CO2 equivlents total emisions for on site combustion of natural gas  on a national basis= </t>
  </si>
  <si>
    <t>123 pounds of CO2 equivlents per  thousand cubic feet of natural gas</t>
  </si>
  <si>
    <t>Total Greenhouse Gas Emissions From the Use of Natural Gas as a combustional fuel</t>
  </si>
  <si>
    <t>150.8 pounds of CO2 equivlents per  thousand cubic feet of natural gas</t>
  </si>
  <si>
    <t>146.6 pounds of CO2 equivlents per  million BTU's of natural gas</t>
  </si>
  <si>
    <t>Greenhouse gas emissions - Conversion Factors</t>
  </si>
  <si>
    <t>Steam ( 1200 BTU/ lb)</t>
  </si>
  <si>
    <t>Total pounds CO2 equivlent Generated</t>
  </si>
  <si>
    <t xml:space="preserve"> steam Generation</t>
  </si>
  <si>
    <t xml:space="preserve">kg CO2/ gal </t>
  </si>
  <si>
    <t>kg CO2/ kg milk</t>
  </si>
  <si>
    <t xml:space="preserve">kg CO2/ kg milk </t>
  </si>
  <si>
    <t>Cooling Water</t>
  </si>
  <si>
    <t>CIP</t>
  </si>
  <si>
    <t>kg CO2/ kg milk (excluding cream)</t>
  </si>
  <si>
    <t>Natural Gas:</t>
  </si>
  <si>
    <t>Electricity:</t>
  </si>
  <si>
    <t>Raw Milk Storage</t>
  </si>
  <si>
    <t>Wastewater treatment</t>
  </si>
  <si>
    <t>MT/ yr</t>
  </si>
  <si>
    <t>MT / yr</t>
  </si>
  <si>
    <t xml:space="preserve">GHG   </t>
  </si>
  <si>
    <t>lb CO2e</t>
  </si>
  <si>
    <t>GHG</t>
  </si>
  <si>
    <t>%</t>
  </si>
  <si>
    <t>Homogenization</t>
  </si>
  <si>
    <t>Total milk processed:</t>
  </si>
  <si>
    <t>kg yr</t>
  </si>
  <si>
    <t>Cold Storage</t>
  </si>
  <si>
    <t>Milk Packaging</t>
  </si>
  <si>
    <t>Cream Packaging</t>
  </si>
  <si>
    <t>Wastewater Treatment</t>
  </si>
  <si>
    <t>Table 4  Inputs From Table3 Converted Electrical kwh to Btu and totaled</t>
  </si>
  <si>
    <t>Items Needing clarification</t>
  </si>
  <si>
    <t xml:space="preserve">The numbers we have assembled are conceptual in nature. More accurate results </t>
  </si>
  <si>
    <t>could be achieved by gathering input form one or several dairies.</t>
  </si>
  <si>
    <t>We have added cooling to bring the various milk solutions down to storage</t>
  </si>
  <si>
    <t xml:space="preserve">We have included 25% additional process electrical to cover misc. power uses </t>
  </si>
  <si>
    <t>such as pumps etc.</t>
  </si>
  <si>
    <t>4)  Pasturization heat recovery</t>
  </si>
  <si>
    <t>The pasteurization process is based on 93% heat recovery,</t>
  </si>
  <si>
    <t>Total GHG:</t>
  </si>
  <si>
    <t>kg CO2 Equiv.</t>
  </si>
  <si>
    <t xml:space="preserve">Total Electricity </t>
  </si>
  <si>
    <t>Total Natural Gas</t>
  </si>
  <si>
    <t>million BTU's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</si>
</sst>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0"/>
    <numFmt numFmtId="167" formatCode="0.0000"/>
    <numFmt numFmtId="168" formatCode="#,##0.00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3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164" fontId="0" fillId="0" borderId="0" xfId="0" applyNumberFormat="1"/>
    <xf numFmtId="10" fontId="0" fillId="0" borderId="1" xfId="0" applyNumberFormat="1" applyBorder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2" xfId="0" applyFont="1" applyBorder="1"/>
    <xf numFmtId="0" fontId="0" fillId="0" borderId="2" xfId="0" applyBorder="1"/>
    <xf numFmtId="0" fontId="4" fillId="0" borderId="0" xfId="0" applyFont="1"/>
    <xf numFmtId="167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5" fillId="0" borderId="0" xfId="1" applyNumberFormat="1" applyFont="1"/>
    <xf numFmtId="3" fontId="5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165" fontId="6" fillId="0" borderId="0" xfId="1" applyNumberFormat="1" applyFont="1"/>
    <xf numFmtId="164" fontId="6" fillId="0" borderId="0" xfId="2" applyNumberFormat="1" applyFont="1"/>
    <xf numFmtId="165" fontId="6" fillId="0" borderId="3" xfId="1" applyNumberFormat="1" applyFont="1" applyBorder="1"/>
    <xf numFmtId="164" fontId="6" fillId="0" borderId="3" xfId="2" applyNumberFormat="1" applyFont="1" applyBorder="1"/>
    <xf numFmtId="3" fontId="6" fillId="0" borderId="1" xfId="0" applyNumberFormat="1" applyFont="1" applyBorder="1"/>
    <xf numFmtId="164" fontId="6" fillId="0" borderId="1" xfId="2" applyNumberFormat="1" applyFont="1" applyBorder="1"/>
    <xf numFmtId="3" fontId="6" fillId="0" borderId="0" xfId="0" applyNumberFormat="1" applyFont="1"/>
    <xf numFmtId="3" fontId="6" fillId="0" borderId="2" xfId="0" applyNumberFormat="1" applyFont="1" applyBorder="1"/>
    <xf numFmtId="167" fontId="6" fillId="0" borderId="4" xfId="0" applyNumberFormat="1" applyFont="1" applyBorder="1"/>
    <xf numFmtId="166" fontId="6" fillId="0" borderId="5" xfId="0" applyNumberFormat="1" applyFont="1" applyBorder="1"/>
    <xf numFmtId="167" fontId="6" fillId="0" borderId="5" xfId="0" applyNumberFormat="1" applyFont="1" applyBorder="1"/>
    <xf numFmtId="168" fontId="6" fillId="0" borderId="6" xfId="0" applyNumberFormat="1" applyFont="1" applyBorder="1"/>
    <xf numFmtId="0" fontId="2" fillId="0" borderId="0" xfId="0" applyFont="1"/>
    <xf numFmtId="1" fontId="0" fillId="0" borderId="0" xfId="0" applyNumberFormat="1"/>
    <xf numFmtId="167" fontId="7" fillId="0" borderId="0" xfId="0" applyNumberFormat="1" applyFont="1"/>
    <xf numFmtId="0" fontId="0" fillId="0" borderId="0" xfId="0" applyAlignment="1">
      <alignment vertical="top"/>
    </xf>
    <xf numFmtId="0" fontId="1" fillId="0" borderId="0" xfId="0" applyFont="1" applyAlignment="1">
      <alignment horizontal="center" vertical="center" wrapText="1"/>
    </xf>
    <xf numFmtId="2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iry%20Process%20Full%20homogenize%2040MM%20kg%20per%20yr_May%202013_I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ry Process Full homogenize 4"/>
    </sheetNames>
    <sheetDataSet>
      <sheetData sheetId="0">
        <row r="740">
          <cell r="O740">
            <v>1633</v>
          </cell>
        </row>
        <row r="741">
          <cell r="O741">
            <v>1095</v>
          </cell>
        </row>
        <row r="742">
          <cell r="O742">
            <v>142787</v>
          </cell>
        </row>
        <row r="743">
          <cell r="O743">
            <v>219065</v>
          </cell>
        </row>
        <row r="744">
          <cell r="O744">
            <v>10</v>
          </cell>
        </row>
        <row r="745">
          <cell r="O745">
            <v>563861</v>
          </cell>
        </row>
        <row r="746">
          <cell r="O746">
            <v>15662</v>
          </cell>
        </row>
        <row r="747">
          <cell r="O747">
            <v>6842</v>
          </cell>
        </row>
        <row r="748">
          <cell r="O748">
            <v>18067</v>
          </cell>
        </row>
        <row r="749">
          <cell r="O749">
            <v>2308800</v>
          </cell>
        </row>
        <row r="754">
          <cell r="O754">
            <v>372</v>
          </cell>
        </row>
        <row r="755">
          <cell r="O755">
            <v>14</v>
          </cell>
        </row>
        <row r="757">
          <cell r="O757">
            <v>5</v>
          </cell>
        </row>
        <row r="758">
          <cell r="O758">
            <v>1310</v>
          </cell>
        </row>
        <row r="759">
          <cell r="O759">
            <v>164</v>
          </cell>
        </row>
        <row r="764">
          <cell r="O764">
            <v>65988</v>
          </cell>
        </row>
        <row r="769">
          <cell r="O769">
            <v>6137</v>
          </cell>
        </row>
        <row r="770">
          <cell r="O770">
            <v>35722</v>
          </cell>
        </row>
        <row r="771">
          <cell r="O771">
            <v>4825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2"/>
  <sheetViews>
    <sheetView tabSelected="1" zoomScaleNormal="100" workbookViewId="0">
      <selection activeCell="K25" sqref="K25"/>
    </sheetView>
  </sheetViews>
  <sheetFormatPr defaultRowHeight="13.2" x14ac:dyDescent="0.25"/>
  <cols>
    <col min="1" max="1" width="18.109375" bestFit="1" customWidth="1"/>
    <col min="3" max="3" width="14.88671875" bestFit="1" customWidth="1"/>
    <col min="4" max="4" width="17.5546875" customWidth="1"/>
    <col min="5" max="5" width="14.5546875" bestFit="1" customWidth="1"/>
    <col min="6" max="6" width="13.6640625" customWidth="1"/>
    <col min="7" max="7" width="12.6640625" customWidth="1"/>
    <col min="8" max="8" width="14.5546875" bestFit="1" customWidth="1"/>
    <col min="9" max="9" width="12.6640625" customWidth="1"/>
    <col min="10" max="10" width="12.109375" customWidth="1"/>
    <col min="11" max="11" width="11.5546875" customWidth="1"/>
  </cols>
  <sheetData>
    <row r="1" spans="1:7" x14ac:dyDescent="0.25">
      <c r="A1" t="s">
        <v>36</v>
      </c>
    </row>
    <row r="2" spans="1:7" ht="26.4" x14ac:dyDescent="0.25">
      <c r="A2" t="s">
        <v>5</v>
      </c>
      <c r="C2" s="1" t="s">
        <v>3</v>
      </c>
      <c r="D2" s="1" t="s">
        <v>8</v>
      </c>
      <c r="F2" s="15" t="s">
        <v>95</v>
      </c>
      <c r="G2" s="1" t="s">
        <v>2</v>
      </c>
    </row>
    <row r="3" spans="1:7" x14ac:dyDescent="0.25">
      <c r="C3" t="s">
        <v>17</v>
      </c>
      <c r="D3" t="s">
        <v>102</v>
      </c>
      <c r="F3" t="s">
        <v>102</v>
      </c>
      <c r="G3" t="s">
        <v>103</v>
      </c>
    </row>
    <row r="4" spans="1:7" x14ac:dyDescent="0.25">
      <c r="C4" t="s">
        <v>19</v>
      </c>
    </row>
    <row r="5" spans="1:7" x14ac:dyDescent="0.25">
      <c r="A5" t="s">
        <v>100</v>
      </c>
      <c r="C5" s="22">
        <f>'[1]Dairy Process Full homogenize 4'!$O$740</f>
        <v>1633</v>
      </c>
      <c r="G5" s="22">
        <f>'[1]Dairy Process Full homogenize 4'!$O$769</f>
        <v>6137</v>
      </c>
    </row>
    <row r="7" spans="1:7" x14ac:dyDescent="0.25">
      <c r="A7" t="s">
        <v>6</v>
      </c>
      <c r="C7" s="23">
        <f>'[1]Dairy Process Full homogenize 4'!$O$741</f>
        <v>1095</v>
      </c>
      <c r="D7" s="23">
        <f>'[1]Dairy Process Full homogenize 4'!$O$754</f>
        <v>372</v>
      </c>
      <c r="G7" s="23">
        <f>'[1]Dairy Process Full homogenize 4'!$O$770</f>
        <v>35722</v>
      </c>
    </row>
    <row r="8" spans="1:7" x14ac:dyDescent="0.25">
      <c r="C8" s="2"/>
      <c r="D8" s="2"/>
      <c r="F8" s="2"/>
      <c r="G8" s="2"/>
    </row>
    <row r="9" spans="1:7" x14ac:dyDescent="0.25">
      <c r="A9" t="s">
        <v>108</v>
      </c>
      <c r="C9" s="23">
        <f>'[1]Dairy Process Full homogenize 4'!$O$743</f>
        <v>219065</v>
      </c>
      <c r="D9" s="2" t="s">
        <v>39</v>
      </c>
      <c r="F9" s="2"/>
      <c r="G9" s="2"/>
    </row>
    <row r="10" spans="1:7" x14ac:dyDescent="0.25">
      <c r="C10" s="2"/>
      <c r="D10" s="2"/>
      <c r="F10" s="2"/>
      <c r="G10" s="2"/>
    </row>
    <row r="11" spans="1:7" x14ac:dyDescent="0.25">
      <c r="A11" t="s">
        <v>18</v>
      </c>
      <c r="C11" s="23">
        <f>'[1]Dairy Process Full homogenize 4'!$O$742</f>
        <v>142787</v>
      </c>
      <c r="D11" s="23">
        <f>'[1]Dairy Process Full homogenize 4'!$O$755</f>
        <v>14</v>
      </c>
      <c r="F11" s="23">
        <f>'[1]Dairy Process Full homogenize 4'!$O$764</f>
        <v>65988</v>
      </c>
      <c r="G11" s="2"/>
    </row>
    <row r="12" spans="1:7" x14ac:dyDescent="0.25">
      <c r="C12" s="2"/>
      <c r="D12" s="2"/>
      <c r="F12" s="2"/>
      <c r="G12" s="2"/>
    </row>
    <row r="13" spans="1:7" x14ac:dyDescent="0.25">
      <c r="A13" t="s">
        <v>7</v>
      </c>
      <c r="C13" s="23">
        <f>'[1]Dairy Process Full homogenize 4'!$O$744</f>
        <v>10</v>
      </c>
      <c r="D13" s="23">
        <f>'[1]Dairy Process Full homogenize 4'!$O$757</f>
        <v>5</v>
      </c>
      <c r="F13" s="2"/>
      <c r="G13" s="23">
        <f>'[1]Dairy Process Full homogenize 4'!$O$771</f>
        <v>4825</v>
      </c>
    </row>
    <row r="14" spans="1:7" x14ac:dyDescent="0.25">
      <c r="C14" s="2"/>
      <c r="D14" s="2"/>
      <c r="F14" s="2"/>
      <c r="G14" s="2"/>
    </row>
    <row r="15" spans="1:7" x14ac:dyDescent="0.25">
      <c r="A15" s="7" t="s">
        <v>113</v>
      </c>
      <c r="C15" s="23">
        <f>'[1]Dairy Process Full homogenize 4'!$O$746</f>
        <v>15662</v>
      </c>
      <c r="D15" s="2"/>
      <c r="F15" s="2" t="s">
        <v>39</v>
      </c>
      <c r="G15" s="2"/>
    </row>
    <row r="16" spans="1:7" x14ac:dyDescent="0.25">
      <c r="C16" s="23"/>
      <c r="D16" s="2"/>
      <c r="F16" s="2"/>
      <c r="G16" s="2"/>
    </row>
    <row r="17" spans="1:7" x14ac:dyDescent="0.25">
      <c r="A17" s="7" t="s">
        <v>112</v>
      </c>
      <c r="C17" s="23">
        <f>'[1]Dairy Process Full homogenize 4'!$O$745</f>
        <v>563861</v>
      </c>
      <c r="D17" s="2"/>
      <c r="F17" s="2" t="s">
        <v>39</v>
      </c>
      <c r="G17" s="2"/>
    </row>
    <row r="18" spans="1:7" x14ac:dyDescent="0.25">
      <c r="A18" s="38"/>
      <c r="C18" s="23"/>
      <c r="D18" s="2"/>
      <c r="F18" s="2"/>
      <c r="G18" s="2"/>
    </row>
    <row r="19" spans="1:7" x14ac:dyDescent="0.25">
      <c r="A19" s="7" t="s">
        <v>111</v>
      </c>
      <c r="C19" s="23">
        <f>'[1]Dairy Process Full homogenize 4'!$O$749</f>
        <v>2308800</v>
      </c>
      <c r="D19" s="2"/>
      <c r="F19" s="2"/>
      <c r="G19" s="2"/>
    </row>
    <row r="20" spans="1:7" x14ac:dyDescent="0.25">
      <c r="C20" s="2"/>
      <c r="D20" s="2"/>
      <c r="F20" s="2"/>
      <c r="G20" s="2"/>
    </row>
    <row r="21" spans="1:7" x14ac:dyDescent="0.25">
      <c r="A21" s="7" t="s">
        <v>96</v>
      </c>
      <c r="C21" s="23">
        <f>'[1]Dairy Process Full homogenize 4'!$O$747</f>
        <v>6842</v>
      </c>
      <c r="D21" s="23">
        <f>'[1]Dairy Process Full homogenize 4'!$O$758</f>
        <v>1310</v>
      </c>
      <c r="F21" s="2"/>
      <c r="G21" s="2"/>
    </row>
    <row r="22" spans="1:7" x14ac:dyDescent="0.25">
      <c r="C22" s="2"/>
      <c r="D22" s="2"/>
      <c r="F22" s="2"/>
      <c r="G22" s="2"/>
    </row>
    <row r="23" spans="1:7" x14ac:dyDescent="0.25">
      <c r="A23" t="s">
        <v>101</v>
      </c>
      <c r="C23" s="22">
        <f>'[1]Dairy Process Full homogenize 4'!$O$748</f>
        <v>18067</v>
      </c>
      <c r="D23" s="22">
        <f>'[1]Dairy Process Full homogenize 4'!$O$759</f>
        <v>164</v>
      </c>
    </row>
    <row r="24" spans="1:7" x14ac:dyDescent="0.25">
      <c r="A24" s="3" t="s">
        <v>16</v>
      </c>
      <c r="B24" s="3"/>
      <c r="C24" s="4">
        <f>SUM(C5:C23)</f>
        <v>3277822</v>
      </c>
      <c r="D24" s="4">
        <f>SUM(D5:D23)</f>
        <v>1865</v>
      </c>
      <c r="E24" s="4" t="s">
        <v>39</v>
      </c>
      <c r="F24" s="4">
        <f>SUM(F5:F23)</f>
        <v>65988</v>
      </c>
      <c r="G24" s="4">
        <f>SUM(G5:G23)</f>
        <v>46684</v>
      </c>
    </row>
    <row r="25" spans="1:7" ht="19.95" customHeight="1" x14ac:dyDescent="0.25"/>
    <row r="26" spans="1:7" x14ac:dyDescent="0.25">
      <c r="A26" t="s">
        <v>38</v>
      </c>
    </row>
    <row r="27" spans="1:7" ht="26.4" x14ac:dyDescent="0.25">
      <c r="A27" t="s">
        <v>5</v>
      </c>
      <c r="C27" s="1" t="s">
        <v>3</v>
      </c>
      <c r="D27" s="1" t="s">
        <v>8</v>
      </c>
      <c r="F27" s="15" t="s">
        <v>95</v>
      </c>
      <c r="G27" s="1" t="s">
        <v>2</v>
      </c>
    </row>
    <row r="28" spans="1:7" ht="26.4" x14ac:dyDescent="0.25">
      <c r="C28" s="1"/>
      <c r="D28" s="1" t="s">
        <v>24</v>
      </c>
      <c r="E28" s="1" t="s">
        <v>21</v>
      </c>
      <c r="F28" s="1" t="s">
        <v>23</v>
      </c>
      <c r="G28" s="1" t="s">
        <v>35</v>
      </c>
    </row>
    <row r="29" spans="1:7" x14ac:dyDescent="0.25">
      <c r="C29" t="s">
        <v>20</v>
      </c>
    </row>
    <row r="30" spans="1:7" x14ac:dyDescent="0.25">
      <c r="A30" t="s">
        <v>100</v>
      </c>
      <c r="C30" s="2">
        <f>C5*1.25</f>
        <v>2041.25</v>
      </c>
      <c r="D30" s="2"/>
      <c r="E30" s="2"/>
      <c r="F30" s="2"/>
      <c r="G30" s="2">
        <f>G5/'Utility Data'!$E$13*1000</f>
        <v>11176.121384999999</v>
      </c>
    </row>
    <row r="31" spans="1:7" x14ac:dyDescent="0.25">
      <c r="C31" s="2"/>
      <c r="D31" s="2"/>
      <c r="E31" s="2"/>
      <c r="F31" s="2"/>
      <c r="G31" s="2"/>
    </row>
    <row r="32" spans="1:7" x14ac:dyDescent="0.25">
      <c r="A32" t="s">
        <v>6</v>
      </c>
      <c r="C32" s="2">
        <f>C7*1.25</f>
        <v>1368.75</v>
      </c>
      <c r="D32" s="2">
        <f>D7*2.204*0.001*0.25*1000</f>
        <v>204.97200000000001</v>
      </c>
      <c r="E32" s="2">
        <f>D7*2.204*1200*1.2*1000</f>
        <v>1180638720</v>
      </c>
      <c r="F32" s="8" t="s">
        <v>39</v>
      </c>
      <c r="G32" s="2">
        <f>G7/'Utility Data'!$E$13*1000</f>
        <v>65053.512809999986</v>
      </c>
    </row>
    <row r="33" spans="1:7" x14ac:dyDescent="0.25">
      <c r="C33" s="2"/>
      <c r="D33" s="2"/>
      <c r="E33" s="2"/>
      <c r="F33" s="2"/>
      <c r="G33" s="2"/>
    </row>
    <row r="34" spans="1:7" x14ac:dyDescent="0.25">
      <c r="A34" t="s">
        <v>108</v>
      </c>
      <c r="C34" s="2">
        <f>C9*1.25</f>
        <v>273831.25</v>
      </c>
      <c r="D34" s="2" t="s">
        <v>39</v>
      </c>
      <c r="E34" s="2" t="s">
        <v>39</v>
      </c>
      <c r="F34" s="2"/>
      <c r="G34" s="2"/>
    </row>
    <row r="35" spans="1:7" x14ac:dyDescent="0.25">
      <c r="C35" s="2"/>
      <c r="D35" s="2"/>
      <c r="E35" s="2"/>
      <c r="F35" s="2"/>
      <c r="G35" s="2"/>
    </row>
    <row r="36" spans="1:7" x14ac:dyDescent="0.25">
      <c r="A36" t="s">
        <v>18</v>
      </c>
      <c r="C36" s="2">
        <f>C11*1.25</f>
        <v>178483.75</v>
      </c>
      <c r="D36" s="2">
        <f>D11*2.204*0.001*0.25*1000</f>
        <v>7.7140000000000004</v>
      </c>
      <c r="E36" s="2">
        <f>D11*2.204*1200*1.2*1000</f>
        <v>44432640.000000007</v>
      </c>
      <c r="F36" s="2">
        <f>F11*2.204*'Utility Data'!C7*1000</f>
        <v>7271.8776000000016</v>
      </c>
      <c r="G36" s="2"/>
    </row>
    <row r="37" spans="1:7" x14ac:dyDescent="0.25">
      <c r="C37" s="2"/>
      <c r="D37" s="2"/>
      <c r="E37" s="2"/>
      <c r="F37" s="2"/>
      <c r="G37" s="2"/>
    </row>
    <row r="38" spans="1:7" x14ac:dyDescent="0.25">
      <c r="A38" t="s">
        <v>7</v>
      </c>
      <c r="C38" s="2">
        <f>C13*1.25</f>
        <v>12.5</v>
      </c>
      <c r="D38" s="2">
        <f>D13*2.204*0.001*0.25*1000</f>
        <v>2.7550000000000003</v>
      </c>
      <c r="E38" s="2">
        <f>D13*2.204*1200*1.2*1000</f>
        <v>15868800.000000002</v>
      </c>
      <c r="F38" s="8" t="s">
        <v>39</v>
      </c>
      <c r="G38" s="2">
        <f>G13/'Utility Data'!$E$13*1000</f>
        <v>8786.8316249999971</v>
      </c>
    </row>
    <row r="39" spans="1:7" x14ac:dyDescent="0.25">
      <c r="C39" s="2"/>
      <c r="D39" s="2"/>
      <c r="E39" s="2"/>
      <c r="F39" s="2"/>
      <c r="G39" s="2"/>
    </row>
    <row r="40" spans="1:7" x14ac:dyDescent="0.25">
      <c r="A40" s="7" t="s">
        <v>113</v>
      </c>
      <c r="C40" s="2">
        <f>C15*1.25</f>
        <v>19577.5</v>
      </c>
      <c r="D40" s="2"/>
      <c r="E40" s="2"/>
      <c r="F40" s="2" t="s">
        <v>39</v>
      </c>
      <c r="G40" s="2"/>
    </row>
    <row r="41" spans="1:7" x14ac:dyDescent="0.25">
      <c r="C41" s="2"/>
      <c r="D41" s="2"/>
      <c r="E41" s="2"/>
      <c r="F41" s="2"/>
      <c r="G41" s="2"/>
    </row>
    <row r="42" spans="1:7" x14ac:dyDescent="0.25">
      <c r="A42" s="7" t="s">
        <v>112</v>
      </c>
      <c r="C42" s="2">
        <f>C17*1.25</f>
        <v>704826.25</v>
      </c>
      <c r="D42" s="2"/>
      <c r="E42" s="2"/>
      <c r="F42" s="2" t="s">
        <v>39</v>
      </c>
      <c r="G42" s="2"/>
    </row>
    <row r="43" spans="1:7" x14ac:dyDescent="0.25">
      <c r="A43" s="38"/>
      <c r="C43" s="2"/>
      <c r="D43" s="2"/>
      <c r="E43" s="2"/>
      <c r="F43" s="2"/>
      <c r="G43" s="2"/>
    </row>
    <row r="44" spans="1:7" x14ac:dyDescent="0.25">
      <c r="A44" s="7" t="s">
        <v>111</v>
      </c>
      <c r="C44" s="2">
        <f>C19*1.25</f>
        <v>2886000</v>
      </c>
      <c r="D44" s="2"/>
      <c r="E44" s="2"/>
      <c r="F44" s="2"/>
      <c r="G44" s="2"/>
    </row>
    <row r="45" spans="1:7" x14ac:dyDescent="0.25">
      <c r="C45" s="2"/>
      <c r="D45" s="2"/>
      <c r="E45" s="2"/>
      <c r="F45" s="2"/>
      <c r="G45" s="2"/>
    </row>
    <row r="46" spans="1:7" x14ac:dyDescent="0.25">
      <c r="A46" s="7" t="s">
        <v>96</v>
      </c>
      <c r="C46" s="2">
        <f>C21*1.25</f>
        <v>8552.5</v>
      </c>
      <c r="D46" s="2">
        <f>D21*2.204*0.001*0.25*1000</f>
        <v>721.81000000000006</v>
      </c>
      <c r="E46" s="2">
        <f>D21*2.204*1200*1.2*1000</f>
        <v>4157625600.0000005</v>
      </c>
      <c r="F46" s="2"/>
      <c r="G46" s="2"/>
    </row>
    <row r="47" spans="1:7" x14ac:dyDescent="0.25">
      <c r="C47" s="2"/>
      <c r="D47" s="2"/>
      <c r="E47" s="2"/>
      <c r="F47" s="2"/>
      <c r="G47" s="2"/>
    </row>
    <row r="48" spans="1:7" x14ac:dyDescent="0.25">
      <c r="A48" t="s">
        <v>101</v>
      </c>
      <c r="C48" s="2">
        <f>C23*1.25</f>
        <v>22583.75</v>
      </c>
      <c r="D48" s="8">
        <f>D23*2.204*0.001*0.25*1000</f>
        <v>90.364000000000004</v>
      </c>
      <c r="E48" s="8">
        <f>D23*2.204*1200*1.2*1000</f>
        <v>520496640</v>
      </c>
      <c r="F48" s="2"/>
      <c r="G48" s="2"/>
    </row>
    <row r="49" spans="1:9" x14ac:dyDescent="0.25">
      <c r="A49" s="3" t="s">
        <v>22</v>
      </c>
      <c r="B49" s="3"/>
      <c r="C49" s="4">
        <f>SUM(C30:C48)</f>
        <v>4097277.5</v>
      </c>
      <c r="D49" s="4">
        <f>SUM(D30:D48)</f>
        <v>1027.615</v>
      </c>
      <c r="E49" s="4">
        <f>SUM(E30:E48)</f>
        <v>5919062400</v>
      </c>
      <c r="F49" s="4">
        <f>SUM(F30:F48)</f>
        <v>7271.8776000000016</v>
      </c>
      <c r="G49" s="4">
        <f>SUM(G30:G48)</f>
        <v>85016.465819999983</v>
      </c>
    </row>
    <row r="50" spans="1:9" x14ac:dyDescent="0.25">
      <c r="E50" s="2"/>
      <c r="F50" s="2"/>
    </row>
    <row r="52" spans="1:9" x14ac:dyDescent="0.25">
      <c r="A52" t="s">
        <v>37</v>
      </c>
    </row>
    <row r="53" spans="1:9" ht="26.4" x14ac:dyDescent="0.25">
      <c r="A53" t="s">
        <v>5</v>
      </c>
      <c r="C53" s="1" t="s">
        <v>3</v>
      </c>
      <c r="D53" s="1" t="s">
        <v>8</v>
      </c>
      <c r="F53" s="15" t="s">
        <v>95</v>
      </c>
      <c r="G53" s="1" t="s">
        <v>2</v>
      </c>
      <c r="H53" s="24" t="s">
        <v>104</v>
      </c>
      <c r="I53" s="24" t="s">
        <v>106</v>
      </c>
    </row>
    <row r="54" spans="1:9" ht="26.4" x14ac:dyDescent="0.25">
      <c r="C54" s="1"/>
      <c r="D54" s="1" t="s">
        <v>24</v>
      </c>
      <c r="E54" s="1" t="s">
        <v>21</v>
      </c>
      <c r="F54" s="1" t="s">
        <v>23</v>
      </c>
      <c r="G54" s="1" t="s">
        <v>23</v>
      </c>
      <c r="H54" s="24" t="s">
        <v>105</v>
      </c>
      <c r="I54" s="24" t="s">
        <v>107</v>
      </c>
    </row>
    <row r="55" spans="1:9" x14ac:dyDescent="0.25">
      <c r="C55" t="s">
        <v>39</v>
      </c>
      <c r="H55" s="25"/>
      <c r="I55" s="25"/>
    </row>
    <row r="56" spans="1:9" x14ac:dyDescent="0.25">
      <c r="A56" t="s">
        <v>100</v>
      </c>
      <c r="C56" s="2">
        <f>C30</f>
        <v>2041.25</v>
      </c>
      <c r="D56" s="2"/>
      <c r="E56" s="2"/>
      <c r="F56" s="2"/>
      <c r="G56" s="2">
        <f>G30*'Utility Data'!$F$16</f>
        <v>22352.242769999997</v>
      </c>
      <c r="H56" s="26">
        <f>(C56+D56+F56+G56)*F$115 +E56*F$106</f>
        <v>40737.13292589999</v>
      </c>
      <c r="I56" s="27">
        <f>H56/H$75</f>
        <v>5.0870525783687521E-3</v>
      </c>
    </row>
    <row r="57" spans="1:9" x14ac:dyDescent="0.25">
      <c r="C57" s="2"/>
      <c r="D57" s="2"/>
      <c r="E57" s="2"/>
      <c r="F57" s="2"/>
      <c r="G57" s="2"/>
      <c r="H57" s="25"/>
      <c r="I57" s="25"/>
    </row>
    <row r="58" spans="1:9" x14ac:dyDescent="0.25">
      <c r="A58" t="s">
        <v>6</v>
      </c>
      <c r="C58" s="2">
        <f>C32</f>
        <v>1368.75</v>
      </c>
      <c r="D58" s="2">
        <f>D32</f>
        <v>204.97200000000001</v>
      </c>
      <c r="E58" s="2">
        <f>E32</f>
        <v>1180638720</v>
      </c>
      <c r="F58" s="2"/>
      <c r="G58" s="2">
        <f>G32*'Utility Data'!$F$16</f>
        <v>130107.02561999997</v>
      </c>
      <c r="H58" s="26">
        <f>(C58+D58+F58+G58)*F$115 +E58*F$106</f>
        <v>392988.48487739993</v>
      </c>
      <c r="I58" s="27">
        <f>H58/H$75</f>
        <v>4.9074466995535131E-2</v>
      </c>
    </row>
    <row r="59" spans="1:9" x14ac:dyDescent="0.25">
      <c r="C59" s="2"/>
      <c r="D59" s="2"/>
      <c r="E59" s="2"/>
      <c r="F59" s="2"/>
      <c r="G59" s="2"/>
      <c r="H59" s="26"/>
      <c r="I59" s="25"/>
    </row>
    <row r="60" spans="1:9" x14ac:dyDescent="0.25">
      <c r="A60" t="s">
        <v>108</v>
      </c>
      <c r="C60" s="2">
        <f>C34</f>
        <v>273831.25</v>
      </c>
      <c r="D60" s="2"/>
      <c r="E60" s="2"/>
      <c r="F60" s="2"/>
      <c r="G60" s="2"/>
      <c r="H60" s="26">
        <f>(C60+D60+F60+G60)*F$115 +E60*F$106</f>
        <v>457298.1875</v>
      </c>
      <c r="I60" s="27">
        <f>H60/H$75</f>
        <v>5.7105146011053945E-2</v>
      </c>
    </row>
    <row r="61" spans="1:9" x14ac:dyDescent="0.25">
      <c r="C61" s="2"/>
      <c r="D61" s="2"/>
      <c r="E61" s="2"/>
      <c r="F61" s="2"/>
      <c r="G61" s="2"/>
      <c r="H61" s="26"/>
      <c r="I61" s="25"/>
    </row>
    <row r="62" spans="1:9" x14ac:dyDescent="0.25">
      <c r="A62" t="s">
        <v>18</v>
      </c>
      <c r="C62" s="2">
        <f>C36</f>
        <v>178483.75</v>
      </c>
      <c r="D62" s="2">
        <f>D36</f>
        <v>7.7140000000000004</v>
      </c>
      <c r="E62" s="2">
        <f>E36</f>
        <v>44432640.000000007</v>
      </c>
      <c r="F62" s="2">
        <f>F36</f>
        <v>7271.8776000000016</v>
      </c>
      <c r="G62" s="2"/>
      <c r="H62" s="26">
        <f>(C62+D62+F62+G62)*F$115 +E62*F$106</f>
        <v>316738.60549600003</v>
      </c>
      <c r="I62" s="27">
        <f>H62/H$75</f>
        <v>3.955275749739702E-2</v>
      </c>
    </row>
    <row r="63" spans="1:9" x14ac:dyDescent="0.25">
      <c r="C63" s="2"/>
      <c r="D63" s="2"/>
      <c r="E63" s="2"/>
      <c r="F63" s="2"/>
      <c r="G63" s="2"/>
      <c r="H63" s="26"/>
      <c r="I63" s="25"/>
    </row>
    <row r="64" spans="1:9" x14ac:dyDescent="0.25">
      <c r="A64" t="s">
        <v>7</v>
      </c>
      <c r="C64" s="2">
        <f>C38</f>
        <v>12.5</v>
      </c>
      <c r="D64" s="2">
        <f>D38</f>
        <v>2.7550000000000003</v>
      </c>
      <c r="E64" s="2">
        <f>E38</f>
        <v>15868800.000000002</v>
      </c>
      <c r="F64" s="2"/>
      <c r="G64" s="2">
        <f>G38*'Utility Data'!$F$16</f>
        <v>17573.663249999994</v>
      </c>
      <c r="H64" s="26">
        <f>(C64+D64+F64+G64)*F$115 +E64*F$106</f>
        <v>31699.859557499989</v>
      </c>
      <c r="I64" s="27">
        <f>H64/H$75</f>
        <v>3.9585223778323868E-3</v>
      </c>
    </row>
    <row r="65" spans="1:11" x14ac:dyDescent="0.25">
      <c r="C65" s="2"/>
      <c r="D65" s="2"/>
      <c r="E65" s="2"/>
      <c r="F65" s="2"/>
      <c r="G65" s="2"/>
      <c r="H65" s="26"/>
      <c r="I65" s="25"/>
    </row>
    <row r="66" spans="1:11" x14ac:dyDescent="0.25">
      <c r="A66" s="7" t="s">
        <v>113</v>
      </c>
      <c r="C66" s="2">
        <f>C40</f>
        <v>19577.5</v>
      </c>
      <c r="D66" s="2"/>
      <c r="E66" s="2"/>
      <c r="F66" s="2"/>
      <c r="G66" s="2"/>
      <c r="H66" s="26">
        <f>(C66+D66+F66+G66)*F$115 +E66*F$106</f>
        <v>32694.424999999999</v>
      </c>
      <c r="I66" s="27">
        <f>H66/H$75</f>
        <v>4.0827188132523534E-3</v>
      </c>
    </row>
    <row r="67" spans="1:11" x14ac:dyDescent="0.25">
      <c r="C67" s="2"/>
      <c r="D67" s="2"/>
      <c r="E67" s="2"/>
      <c r="F67" s="2"/>
      <c r="G67" s="2"/>
      <c r="H67" s="26"/>
      <c r="I67" s="25"/>
    </row>
    <row r="68" spans="1:11" x14ac:dyDescent="0.25">
      <c r="A68" s="7" t="s">
        <v>112</v>
      </c>
      <c r="C68" s="2">
        <f>C42</f>
        <v>704826.25</v>
      </c>
      <c r="D68" s="2"/>
      <c r="E68" s="2"/>
      <c r="F68" s="2"/>
      <c r="G68" s="2"/>
      <c r="H68" s="26">
        <f>(C68+D68+F68+G68)*F$115 +E68*F$106</f>
        <v>1177059.8374999999</v>
      </c>
      <c r="I68" s="27">
        <f>H68/H$75</f>
        <v>0.1469854369020103</v>
      </c>
    </row>
    <row r="69" spans="1:11" x14ac:dyDescent="0.25">
      <c r="A69" s="38"/>
      <c r="C69" s="2"/>
      <c r="D69" s="2"/>
      <c r="E69" s="2"/>
      <c r="F69" s="2"/>
      <c r="G69" s="2"/>
      <c r="H69" s="26"/>
      <c r="I69" s="27"/>
    </row>
    <row r="70" spans="1:11" x14ac:dyDescent="0.25">
      <c r="A70" s="7" t="s">
        <v>111</v>
      </c>
      <c r="C70" s="2">
        <f>C44</f>
        <v>2886000</v>
      </c>
      <c r="D70" s="2"/>
      <c r="E70" s="2"/>
      <c r="F70" s="2"/>
      <c r="G70" s="2"/>
      <c r="H70" s="26">
        <f>(C70+D70+F70+G70)*F$115 +E70*F$106</f>
        <v>4819620</v>
      </c>
      <c r="I70" s="27">
        <f>H70/H$75</f>
        <v>0.60185041476420853</v>
      </c>
    </row>
    <row r="71" spans="1:11" x14ac:dyDescent="0.25">
      <c r="C71" s="2"/>
      <c r="D71" s="2"/>
      <c r="E71" s="2"/>
      <c r="F71" s="2"/>
      <c r="G71" s="2"/>
      <c r="H71" s="26"/>
      <c r="I71" s="25"/>
    </row>
    <row r="72" spans="1:11" x14ac:dyDescent="0.25">
      <c r="A72" s="7" t="s">
        <v>96</v>
      </c>
      <c r="C72" s="2">
        <f>C46</f>
        <v>8552.5</v>
      </c>
      <c r="D72" s="2">
        <f>D46</f>
        <v>721.81000000000006</v>
      </c>
      <c r="E72" s="2">
        <f>E46</f>
        <v>4157625600.0000005</v>
      </c>
      <c r="F72" s="8"/>
      <c r="G72" s="8"/>
      <c r="H72" s="26">
        <f>(C72+D72+F72+G72)*F$115 +E72*F$106</f>
        <v>624996.01066000003</v>
      </c>
      <c r="I72" s="27">
        <f>H72/H$75</f>
        <v>7.8046424457051955E-2</v>
      </c>
    </row>
    <row r="73" spans="1:11" x14ac:dyDescent="0.25">
      <c r="C73" s="2"/>
      <c r="D73" s="2"/>
      <c r="E73" s="2"/>
      <c r="F73" s="2"/>
      <c r="G73" s="2"/>
      <c r="H73" s="26"/>
      <c r="I73" s="25"/>
    </row>
    <row r="74" spans="1:11" x14ac:dyDescent="0.25">
      <c r="A74" t="s">
        <v>101</v>
      </c>
      <c r="C74" s="2">
        <f>C48</f>
        <v>22583.75</v>
      </c>
      <c r="D74" s="2">
        <f>D48</f>
        <v>90.364000000000004</v>
      </c>
      <c r="E74" s="2">
        <f>E48</f>
        <v>520496640</v>
      </c>
      <c r="F74" s="2"/>
      <c r="G74" s="2"/>
      <c r="H74" s="28">
        <f>(C74+D74+F74+G74)*F$115 +E74*F$106</f>
        <v>114170.577804</v>
      </c>
      <c r="I74" s="29">
        <f>H74/H$75</f>
        <v>1.4257059603289626E-2</v>
      </c>
    </row>
    <row r="75" spans="1:11" x14ac:dyDescent="0.25">
      <c r="A75" s="3" t="s">
        <v>22</v>
      </c>
      <c r="B75" s="3"/>
      <c r="C75" s="4">
        <f t="shared" ref="C75:I75" si="0">SUM(C56:C74)</f>
        <v>4097277.5</v>
      </c>
      <c r="D75" s="4">
        <f t="shared" si="0"/>
        <v>1027.615</v>
      </c>
      <c r="E75" s="4">
        <f t="shared" si="0"/>
        <v>5919062400</v>
      </c>
      <c r="F75" s="4">
        <f t="shared" si="0"/>
        <v>7271.8776000000016</v>
      </c>
      <c r="G75" s="4">
        <f t="shared" si="0"/>
        <v>170032.93163999997</v>
      </c>
      <c r="H75" s="30">
        <f t="shared" si="0"/>
        <v>8008003.1213207999</v>
      </c>
      <c r="I75" s="31">
        <f t="shared" si="0"/>
        <v>1</v>
      </c>
    </row>
    <row r="76" spans="1:11" x14ac:dyDescent="0.25">
      <c r="E76" s="2"/>
      <c r="F76" s="2"/>
    </row>
    <row r="78" spans="1:11" x14ac:dyDescent="0.25">
      <c r="A78" t="s">
        <v>115</v>
      </c>
    </row>
    <row r="79" spans="1:11" ht="26.4" x14ac:dyDescent="0.25">
      <c r="A79" t="s">
        <v>5</v>
      </c>
      <c r="C79" s="1" t="s">
        <v>3</v>
      </c>
      <c r="D79" s="1" t="s">
        <v>43</v>
      </c>
      <c r="E79" s="1" t="s">
        <v>44</v>
      </c>
      <c r="F79" s="15" t="s">
        <v>95</v>
      </c>
      <c r="G79" s="1" t="s">
        <v>2</v>
      </c>
      <c r="H79" s="1" t="s">
        <v>22</v>
      </c>
      <c r="I79" s="1" t="s">
        <v>45</v>
      </c>
      <c r="J79" s="42" t="s">
        <v>126</v>
      </c>
      <c r="K79" s="42" t="s">
        <v>127</v>
      </c>
    </row>
    <row r="80" spans="1:11" x14ac:dyDescent="0.25">
      <c r="C80" s="1" t="s">
        <v>42</v>
      </c>
      <c r="D80" s="1" t="s">
        <v>42</v>
      </c>
      <c r="E80" s="1" t="s">
        <v>42</v>
      </c>
      <c r="F80" s="1" t="s">
        <v>42</v>
      </c>
      <c r="G80" s="1" t="s">
        <v>42</v>
      </c>
      <c r="H80" s="1" t="s">
        <v>42</v>
      </c>
      <c r="J80" s="42" t="s">
        <v>128</v>
      </c>
      <c r="K80" s="42" t="s">
        <v>128</v>
      </c>
    </row>
    <row r="81" spans="1:11" x14ac:dyDescent="0.25">
      <c r="C81" t="s">
        <v>39</v>
      </c>
    </row>
    <row r="82" spans="1:11" x14ac:dyDescent="0.25">
      <c r="A82" t="s">
        <v>100</v>
      </c>
      <c r="C82" s="2">
        <f>C56*'Utility Data'!$C$18</f>
        <v>6965030.7749999994</v>
      </c>
      <c r="D82" s="2"/>
      <c r="E82" s="2"/>
      <c r="F82" s="2"/>
      <c r="G82" s="2">
        <f>G56*'Utility Data'!$C$18</f>
        <v>76268981.64522779</v>
      </c>
      <c r="H82" s="2">
        <f>SUM(C82:G82)</f>
        <v>83234012.420227796</v>
      </c>
      <c r="I82" s="5">
        <f>H82/H$101</f>
        <v>4.05860355805271E-3</v>
      </c>
      <c r="J82" s="39">
        <f>(C82+D82+F82+G82)/1000000</f>
        <v>83.234012420227799</v>
      </c>
      <c r="K82">
        <f>E82/1000000</f>
        <v>0</v>
      </c>
    </row>
    <row r="83" spans="1:11" x14ac:dyDescent="0.25">
      <c r="C83" s="2"/>
      <c r="D83" s="2"/>
      <c r="E83" s="2"/>
      <c r="F83" s="2"/>
      <c r="G83" s="2"/>
    </row>
    <row r="84" spans="1:11" x14ac:dyDescent="0.25">
      <c r="A84" t="s">
        <v>6</v>
      </c>
      <c r="C84" s="2">
        <f>C58*'Utility Data'!$C$18</f>
        <v>4670366.625</v>
      </c>
      <c r="D84" s="2">
        <f>D58*'Utility Data'!$C$18</f>
        <v>699393.16008000006</v>
      </c>
      <c r="E84" s="2">
        <f>E58</f>
        <v>1180638720</v>
      </c>
      <c r="F84" s="8"/>
      <c r="G84" s="2">
        <f>G58*'Utility Data'!$C$18</f>
        <v>443943386.39902669</v>
      </c>
      <c r="H84" s="2">
        <f>SUM(C84:G84)</f>
        <v>1629951866.1841066</v>
      </c>
      <c r="I84" s="5">
        <f>H84/H$101</f>
        <v>7.9478668049190321E-2</v>
      </c>
      <c r="J84" s="39">
        <f>(C84+D84+F84+G84)/1000000</f>
        <v>449.3131461841067</v>
      </c>
      <c r="K84" s="39">
        <f>E84/1000000</f>
        <v>1180.6387199999999</v>
      </c>
    </row>
    <row r="85" spans="1:11" x14ac:dyDescent="0.25">
      <c r="C85" s="2"/>
      <c r="D85" s="2"/>
      <c r="E85" s="2"/>
      <c r="F85" s="2"/>
      <c r="G85" s="2"/>
      <c r="J85" s="39"/>
    </row>
    <row r="86" spans="1:11" x14ac:dyDescent="0.25">
      <c r="A86" t="s">
        <v>108</v>
      </c>
      <c r="C86" s="2">
        <f>C60*'Utility Data'!$C$18</f>
        <v>934350561.375</v>
      </c>
      <c r="D86" s="2"/>
      <c r="E86" s="2">
        <f>E60</f>
        <v>0</v>
      </c>
      <c r="F86" s="2"/>
      <c r="G86" s="2"/>
      <c r="H86" s="2">
        <f>SUM(C86:G86)</f>
        <v>934350561.375</v>
      </c>
      <c r="I86" s="5">
        <f>H86/H$101</f>
        <v>4.5560203126090548E-2</v>
      </c>
      <c r="J86" s="39">
        <f>(C86+D86+F86+G86)/1000000</f>
        <v>934.35056137499998</v>
      </c>
      <c r="K86">
        <f>E86/1000000</f>
        <v>0</v>
      </c>
    </row>
    <row r="87" spans="1:11" x14ac:dyDescent="0.25">
      <c r="C87" s="2"/>
      <c r="D87" s="2"/>
      <c r="E87" s="2"/>
      <c r="F87" s="2"/>
      <c r="G87" s="2"/>
      <c r="J87" s="39"/>
    </row>
    <row r="88" spans="1:11" x14ac:dyDescent="0.25">
      <c r="A88" t="s">
        <v>18</v>
      </c>
      <c r="C88" s="2">
        <f>C62*'Utility Data'!$C$18</f>
        <v>609011542.72500002</v>
      </c>
      <c r="D88" s="2">
        <f>D62*'Utility Data'!$C$18</f>
        <v>26321.247960000001</v>
      </c>
      <c r="E88" s="2">
        <f>E62</f>
        <v>44432640.000000007</v>
      </c>
      <c r="F88" s="2">
        <f>F62*'Utility Data'!$C$18</f>
        <v>24812664.434064005</v>
      </c>
      <c r="G88" s="2"/>
      <c r="H88" s="2">
        <f>SUM(C88:G88)</f>
        <v>678283168.40702403</v>
      </c>
      <c r="I88" s="5">
        <f>H88/H$101</f>
        <v>3.3074009057323765E-2</v>
      </c>
      <c r="J88" s="39">
        <f>(C88+D88+F88+G88)/1000000</f>
        <v>633.85052840702406</v>
      </c>
      <c r="K88" s="39">
        <f>E88/1000000</f>
        <v>44.432640000000006</v>
      </c>
    </row>
    <row r="89" spans="1:11" x14ac:dyDescent="0.25">
      <c r="C89" s="2"/>
      <c r="D89" s="2"/>
      <c r="E89" s="2"/>
      <c r="F89" s="2"/>
      <c r="G89" s="2"/>
      <c r="J89" s="39"/>
    </row>
    <row r="90" spans="1:11" x14ac:dyDescent="0.25">
      <c r="A90" t="s">
        <v>7</v>
      </c>
      <c r="C90" s="2">
        <f>C64*'Utility Data'!$C$18</f>
        <v>42651.75</v>
      </c>
      <c r="D90" s="2">
        <f>D64*'Utility Data'!$C$18</f>
        <v>9400.4457000000002</v>
      </c>
      <c r="E90" s="2">
        <f>E64</f>
        <v>15868800.000000002</v>
      </c>
      <c r="F90" s="8"/>
      <c r="G90" s="2">
        <f>G64*'Utility Data'!$C$18</f>
        <v>59963799.321854979</v>
      </c>
      <c r="H90" s="2">
        <f>SUM(C90:G90)</f>
        <v>75884651.517554983</v>
      </c>
      <c r="I90" s="5">
        <f>H90/H$101</f>
        <v>3.7002387328847666E-3</v>
      </c>
      <c r="J90" s="39">
        <f>(C90+D90+F90+G90)/1000000</f>
        <v>60.015851517554978</v>
      </c>
      <c r="K90" s="39">
        <f>E90/1000000</f>
        <v>15.868800000000002</v>
      </c>
    </row>
    <row r="91" spans="1:11" x14ac:dyDescent="0.25">
      <c r="C91" s="2"/>
      <c r="D91" s="2"/>
      <c r="E91" s="2"/>
      <c r="F91" s="2"/>
      <c r="G91" s="2"/>
      <c r="J91" s="39"/>
    </row>
    <row r="92" spans="1:11" x14ac:dyDescent="0.25">
      <c r="A92" s="7" t="s">
        <v>113</v>
      </c>
      <c r="C92" s="2">
        <f>C66*'Utility Data'!$C$18</f>
        <v>66801170.849999994</v>
      </c>
      <c r="D92" s="8"/>
      <c r="E92" s="2"/>
      <c r="F92" s="2"/>
      <c r="G92" s="2"/>
      <c r="H92" s="2">
        <f>SUM(C92:G92)</f>
        <v>66801170.849999994</v>
      </c>
      <c r="I92" s="5">
        <f>H92/H$101</f>
        <v>3.25731587136617E-3</v>
      </c>
      <c r="J92" s="39">
        <f>(C92+D92+F92+G92)/1000000</f>
        <v>66.801170849999991</v>
      </c>
      <c r="K92">
        <f>E92/1000000</f>
        <v>0</v>
      </c>
    </row>
    <row r="93" spans="1:11" x14ac:dyDescent="0.25">
      <c r="C93" s="2"/>
      <c r="D93" s="2"/>
      <c r="E93" s="2"/>
      <c r="F93" s="2"/>
      <c r="G93" s="2"/>
      <c r="I93" s="5" t="s">
        <v>39</v>
      </c>
      <c r="J93" s="39"/>
    </row>
    <row r="94" spans="1:11" x14ac:dyDescent="0.25">
      <c r="A94" s="7" t="s">
        <v>112</v>
      </c>
      <c r="C94" s="2">
        <f>C68*'Utility Data'!$C$18</f>
        <v>2404965840.6749997</v>
      </c>
      <c r="D94" s="2"/>
      <c r="E94" s="2"/>
      <c r="F94" s="2"/>
      <c r="G94" s="2"/>
      <c r="H94" s="2">
        <f>SUM(C94:G94)</f>
        <v>2404965840.6749997</v>
      </c>
      <c r="I94" s="5">
        <f>H94/H$101</f>
        <v>0.11726940266533011</v>
      </c>
      <c r="J94" s="39">
        <f>(C94+D94+F94+G94)/1000000</f>
        <v>2404.9658406749995</v>
      </c>
      <c r="K94">
        <f>E94/1000000</f>
        <v>0</v>
      </c>
    </row>
    <row r="95" spans="1:11" x14ac:dyDescent="0.25">
      <c r="A95" s="38"/>
      <c r="C95" s="2"/>
      <c r="D95" s="2"/>
      <c r="E95" s="2"/>
      <c r="F95" s="2"/>
      <c r="G95" s="2"/>
      <c r="H95" s="2"/>
      <c r="I95" s="5"/>
      <c r="J95" s="39"/>
    </row>
    <row r="96" spans="1:11" x14ac:dyDescent="0.25">
      <c r="A96" s="7" t="s">
        <v>111</v>
      </c>
      <c r="C96" s="2">
        <f>C70*'Utility Data'!$C$18</f>
        <v>9847436040</v>
      </c>
      <c r="D96" s="2"/>
      <c r="E96" s="2"/>
      <c r="F96" s="2"/>
      <c r="G96" s="2"/>
      <c r="H96" s="2">
        <f>SUM(C96:G96)</f>
        <v>9847436040</v>
      </c>
      <c r="I96" s="5">
        <f>H96/H$101</f>
        <v>0.48017436367068156</v>
      </c>
      <c r="J96" s="39">
        <f>(C96+D96+F96+G96)/1000000</f>
        <v>9847.4360400000005</v>
      </c>
      <c r="K96">
        <f>E96/1000000</f>
        <v>0</v>
      </c>
    </row>
    <row r="97" spans="1:11" x14ac:dyDescent="0.25">
      <c r="C97" s="2"/>
      <c r="D97" s="2"/>
      <c r="E97" s="2"/>
      <c r="F97" s="2"/>
      <c r="G97" s="2"/>
      <c r="H97" s="2"/>
      <c r="I97" s="5"/>
      <c r="J97" s="39"/>
    </row>
    <row r="98" spans="1:11" x14ac:dyDescent="0.25">
      <c r="A98" s="7" t="s">
        <v>96</v>
      </c>
      <c r="C98" s="2">
        <f>C72*'Utility Data'!$C$18</f>
        <v>29182327.349999998</v>
      </c>
      <c r="D98" s="2">
        <f>D72*'Utility Data'!$C$18</f>
        <v>2462916.7734000003</v>
      </c>
      <c r="E98" s="2">
        <f>E72</f>
        <v>4157625600.0000005</v>
      </c>
      <c r="F98" s="2"/>
      <c r="G98" s="2"/>
      <c r="H98" s="2">
        <f>SUM(C98:G98)</f>
        <v>4189270844.1234007</v>
      </c>
      <c r="I98" s="5">
        <f>H98/H$101</f>
        <v>0.20427453944865559</v>
      </c>
      <c r="J98" s="39">
        <f>(C98+D98+F98+G98)/1000000</f>
        <v>31.645244123399998</v>
      </c>
      <c r="K98" s="39">
        <f>E98/1000000</f>
        <v>4157.6256000000003</v>
      </c>
    </row>
    <row r="99" spans="1:11" x14ac:dyDescent="0.25">
      <c r="C99" s="2"/>
      <c r="D99" s="2"/>
      <c r="E99" s="2"/>
      <c r="F99" s="2"/>
      <c r="G99" s="2"/>
      <c r="H99" s="2"/>
      <c r="I99" s="5"/>
      <c r="J99" s="39"/>
    </row>
    <row r="100" spans="1:11" x14ac:dyDescent="0.25">
      <c r="A100" t="s">
        <v>114</v>
      </c>
      <c r="C100" s="2">
        <f>C74*'Utility Data'!$C$18</f>
        <v>77058916.724999994</v>
      </c>
      <c r="D100" s="8">
        <f>D74*'Utility Data'!$C$18</f>
        <v>308334.61895999999</v>
      </c>
      <c r="E100" s="2">
        <f>E74</f>
        <v>520496640</v>
      </c>
      <c r="F100" s="2"/>
      <c r="G100" s="2"/>
      <c r="H100" s="2">
        <f>SUM(C100:G100)</f>
        <v>597863891.34396005</v>
      </c>
      <c r="I100" s="5">
        <f>H100/H$101</f>
        <v>2.915265582042445E-2</v>
      </c>
      <c r="J100" s="39">
        <f>(C100+D100+F100+G100)/1000000</f>
        <v>77.367251343959992</v>
      </c>
      <c r="K100" s="43">
        <f>E100/1000000</f>
        <v>520.49663999999996</v>
      </c>
    </row>
    <row r="101" spans="1:11" x14ac:dyDescent="0.25">
      <c r="A101" s="3" t="s">
        <v>22</v>
      </c>
      <c r="B101" s="3"/>
      <c r="C101" s="4">
        <f t="shared" ref="C101:I101" si="1">SUM(C82:C100)</f>
        <v>13980484448.85</v>
      </c>
      <c r="D101" s="4">
        <f>SUM(D82:D100)</f>
        <v>3506366.2461000006</v>
      </c>
      <c r="E101" s="4">
        <f t="shared" si="1"/>
        <v>5919062400</v>
      </c>
      <c r="F101" s="4">
        <f t="shared" si="1"/>
        <v>24812664.434064005</v>
      </c>
      <c r="G101" s="4">
        <f t="shared" si="1"/>
        <v>580176167.36610949</v>
      </c>
      <c r="H101" s="4">
        <f t="shared" si="1"/>
        <v>20508042046.896275</v>
      </c>
      <c r="I101" s="6">
        <f t="shared" si="1"/>
        <v>1</v>
      </c>
    </row>
    <row r="102" spans="1:11" ht="20.25" customHeight="1" x14ac:dyDescent="0.25"/>
    <row r="103" spans="1:11" ht="39.6" x14ac:dyDescent="0.25">
      <c r="F103" s="9" t="s">
        <v>62</v>
      </c>
      <c r="G103" s="10"/>
      <c r="H103" s="9" t="s">
        <v>61</v>
      </c>
      <c r="I103" s="41" t="s">
        <v>125</v>
      </c>
    </row>
    <row r="104" spans="1:11" x14ac:dyDescent="0.25">
      <c r="A104" s="7" t="s">
        <v>54</v>
      </c>
      <c r="F104" s="10"/>
      <c r="G104" s="10"/>
    </row>
    <row r="105" spans="1:11" x14ac:dyDescent="0.25">
      <c r="H105" s="2"/>
    </row>
    <row r="106" spans="1:11" x14ac:dyDescent="0.25">
      <c r="A106" s="7" t="s">
        <v>56</v>
      </c>
      <c r="E106" s="2">
        <f>E75</f>
        <v>5919062400</v>
      </c>
      <c r="F106">
        <f>146.6/1000000</f>
        <v>1.4659999999999999E-4</v>
      </c>
      <c r="H106" s="32">
        <f>F106*E106</f>
        <v>867734.5478399999</v>
      </c>
      <c r="I106" s="26">
        <f>H106/2.204</f>
        <v>393708.9599999999</v>
      </c>
    </row>
    <row r="107" spans="1:11" x14ac:dyDescent="0.25">
      <c r="A107" s="7" t="s">
        <v>55</v>
      </c>
      <c r="H107" s="2"/>
    </row>
    <row r="108" spans="1:11" x14ac:dyDescent="0.25">
      <c r="H108" s="2"/>
    </row>
    <row r="109" spans="1:11" x14ac:dyDescent="0.25">
      <c r="H109" s="2"/>
    </row>
    <row r="110" spans="1:11" x14ac:dyDescent="0.25">
      <c r="A110" s="7" t="s">
        <v>57</v>
      </c>
      <c r="D110" s="8" t="s">
        <v>39</v>
      </c>
      <c r="H110" s="2"/>
    </row>
    <row r="111" spans="1:11" x14ac:dyDescent="0.25">
      <c r="A111" s="7" t="s">
        <v>58</v>
      </c>
      <c r="D111" s="2">
        <f>C75</f>
        <v>4097277.5</v>
      </c>
      <c r="H111" s="2"/>
    </row>
    <row r="112" spans="1:11" x14ac:dyDescent="0.25">
      <c r="A112" s="7" t="s">
        <v>91</v>
      </c>
      <c r="D112" s="2">
        <f>D75</f>
        <v>1027.615</v>
      </c>
      <c r="H112" s="2"/>
    </row>
    <row r="113" spans="1:10" x14ac:dyDescent="0.25">
      <c r="A113" s="7" t="s">
        <v>59</v>
      </c>
      <c r="D113" s="2">
        <f>F75</f>
        <v>7271.8776000000016</v>
      </c>
      <c r="H113" s="2"/>
    </row>
    <row r="114" spans="1:10" x14ac:dyDescent="0.25">
      <c r="A114" s="7" t="s">
        <v>60</v>
      </c>
      <c r="D114" s="2">
        <f>G75</f>
        <v>170032.93163999997</v>
      </c>
      <c r="H114" s="2"/>
    </row>
    <row r="115" spans="1:10" x14ac:dyDescent="0.25">
      <c r="A115" s="7" t="s">
        <v>57</v>
      </c>
      <c r="D115" s="3"/>
      <c r="E115" s="4">
        <f>SUM(D111:D114)</f>
        <v>4275609.9242399996</v>
      </c>
      <c r="F115">
        <v>1.67</v>
      </c>
      <c r="H115" s="32">
        <f>E115*F115</f>
        <v>7140268.5734807989</v>
      </c>
      <c r="I115" s="26">
        <f>H115/2.204</f>
        <v>3239686.2856083475</v>
      </c>
    </row>
    <row r="116" spans="1:10" ht="13.8" thickBot="1" x14ac:dyDescent="0.3">
      <c r="H116" s="2"/>
    </row>
    <row r="117" spans="1:10" x14ac:dyDescent="0.25">
      <c r="A117" s="11" t="s">
        <v>90</v>
      </c>
      <c r="B117" s="12"/>
      <c r="C117" s="12"/>
      <c r="D117" s="12"/>
      <c r="E117" s="12"/>
      <c r="F117" s="12"/>
      <c r="G117" s="12"/>
      <c r="H117" s="33">
        <f>H106+H115</f>
        <v>8008003.121320799</v>
      </c>
      <c r="I117" s="33">
        <f>I106+I115</f>
        <v>3633395.2456083475</v>
      </c>
    </row>
    <row r="119" spans="1:10" x14ac:dyDescent="0.25">
      <c r="E119" s="2"/>
      <c r="H119" s="2"/>
      <c r="J119" s="14"/>
    </row>
    <row r="121" spans="1:10" x14ac:dyDescent="0.25">
      <c r="D121" s="7" t="s">
        <v>109</v>
      </c>
      <c r="E121" s="22">
        <v>39998961</v>
      </c>
      <c r="F121" s="7" t="s">
        <v>110</v>
      </c>
    </row>
    <row r="122" spans="1:10" x14ac:dyDescent="0.25">
      <c r="D122" t="s">
        <v>98</v>
      </c>
      <c r="E122" s="34">
        <f>E123*3.785</f>
        <v>3.7255678056237501E-2</v>
      </c>
      <c r="F122" s="3" t="s">
        <v>92</v>
      </c>
      <c r="G122" s="3"/>
      <c r="H122" s="19"/>
    </row>
    <row r="123" spans="1:10" x14ac:dyDescent="0.25">
      <c r="E123" s="35">
        <f>H106/2.204/E121</f>
        <v>9.8429796713969623E-3</v>
      </c>
      <c r="F123" s="16" t="s">
        <v>94</v>
      </c>
      <c r="G123" s="16"/>
      <c r="H123" s="20"/>
    </row>
    <row r="124" spans="1:10" x14ac:dyDescent="0.25">
      <c r="E124" s="35">
        <f>(E75-E64)*F106/2.204/E121</f>
        <v>9.8165909859508592E-3</v>
      </c>
      <c r="F124" s="16" t="s">
        <v>97</v>
      </c>
      <c r="G124" s="16"/>
      <c r="H124" s="20"/>
    </row>
    <row r="125" spans="1:10" x14ac:dyDescent="0.25">
      <c r="E125" s="18"/>
      <c r="F125" s="16"/>
      <c r="G125" s="16"/>
      <c r="H125" s="20"/>
    </row>
    <row r="126" spans="1:10" x14ac:dyDescent="0.25">
      <c r="E126" s="18"/>
      <c r="F126" s="16"/>
      <c r="G126" s="16"/>
      <c r="H126" s="20"/>
    </row>
    <row r="127" spans="1:10" x14ac:dyDescent="0.25">
      <c r="E127" s="18"/>
      <c r="F127" s="16"/>
      <c r="G127" s="16"/>
      <c r="H127" s="20"/>
    </row>
    <row r="128" spans="1:10" x14ac:dyDescent="0.25">
      <c r="E128" s="18"/>
      <c r="F128" s="16"/>
      <c r="G128" s="16"/>
      <c r="H128" s="20"/>
    </row>
    <row r="129" spans="4:8" x14ac:dyDescent="0.25">
      <c r="D129" t="s">
        <v>99</v>
      </c>
      <c r="E129" s="36">
        <f>E130*3.785</f>
        <v>0.30656327775682962</v>
      </c>
      <c r="F129" s="16" t="s">
        <v>92</v>
      </c>
      <c r="G129" s="16"/>
      <c r="H129" s="20"/>
    </row>
    <row r="130" spans="4:8" x14ac:dyDescent="0.25">
      <c r="E130" s="36">
        <f>H115/2.204/E121</f>
        <v>8.099426096613728E-2</v>
      </c>
      <c r="F130" s="16" t="s">
        <v>93</v>
      </c>
      <c r="G130" s="16"/>
      <c r="H130" s="20"/>
    </row>
    <row r="131" spans="4:8" x14ac:dyDescent="0.25">
      <c r="E131" s="37">
        <f>(E115-C64-D64-G64-C66)*F115/2.204/E121</f>
        <v>8.0290205490484379E-2</v>
      </c>
      <c r="F131" s="17" t="s">
        <v>97</v>
      </c>
      <c r="G131" s="17"/>
      <c r="H131" s="21"/>
    </row>
    <row r="132" spans="4:8" x14ac:dyDescent="0.25">
      <c r="D132" t="s">
        <v>124</v>
      </c>
      <c r="E132" s="40">
        <f>E123+E130</f>
        <v>9.0837240637534247E-2</v>
      </c>
      <c r="F132" s="16" t="s">
        <v>93</v>
      </c>
    </row>
  </sheetData>
  <phoneticPr fontId="2" type="noConversion"/>
  <pageMargins left="0.65" right="0.55000000000000004" top="0.76" bottom="0.51" header="0.25" footer="0.26"/>
  <pageSetup scale="62" orientation="portrait" r:id="rId1"/>
  <headerFooter alignWithMargins="0">
    <oddHeader>&amp;C40 MM Dairy Processing Facility &amp;R&amp;D</oddHeader>
    <oddFooter>&amp;L&amp;Z&amp;F&amp;C
&amp;RPage   &amp;P</oddFooter>
  </headerFooter>
  <rowBreaks count="1" manualBreakCount="1">
    <brk id="51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4" zoomScaleNormal="100" workbookViewId="0">
      <selection activeCell="H20" sqref="H20"/>
    </sheetView>
  </sheetViews>
  <sheetFormatPr defaultRowHeight="13.2" x14ac:dyDescent="0.25"/>
  <cols>
    <col min="1" max="1" width="16.33203125" bestFit="1" customWidth="1"/>
    <col min="3" max="3" width="9.88671875" bestFit="1" customWidth="1"/>
    <col min="4" max="4" width="13.6640625" bestFit="1" customWidth="1"/>
    <col min="5" max="6" width="9.33203125" bestFit="1" customWidth="1"/>
  </cols>
  <sheetData>
    <row r="1" spans="1:9" x14ac:dyDescent="0.25">
      <c r="A1" t="s">
        <v>53</v>
      </c>
    </row>
    <row r="2" spans="1:9" x14ac:dyDescent="0.25">
      <c r="C2" t="s">
        <v>0</v>
      </c>
      <c r="E2" t="s">
        <v>4</v>
      </c>
    </row>
    <row r="3" spans="1:9" x14ac:dyDescent="0.25">
      <c r="A3" t="s">
        <v>3</v>
      </c>
    </row>
    <row r="5" spans="1:9" x14ac:dyDescent="0.25">
      <c r="A5" t="s">
        <v>89</v>
      </c>
      <c r="C5">
        <v>0.25</v>
      </c>
      <c r="D5" t="s">
        <v>9</v>
      </c>
      <c r="F5" t="s">
        <v>10</v>
      </c>
      <c r="I5" t="s">
        <v>12</v>
      </c>
    </row>
    <row r="6" spans="1:9" x14ac:dyDescent="0.25">
      <c r="I6" t="s">
        <v>13</v>
      </c>
    </row>
    <row r="7" spans="1:9" x14ac:dyDescent="0.25">
      <c r="A7" t="s">
        <v>1</v>
      </c>
      <c r="C7">
        <v>5.0000000000000002E-5</v>
      </c>
      <c r="D7" t="s">
        <v>11</v>
      </c>
      <c r="I7" t="s">
        <v>14</v>
      </c>
    </row>
    <row r="8" spans="1:9" x14ac:dyDescent="0.25">
      <c r="I8" t="s">
        <v>15</v>
      </c>
    </row>
    <row r="9" spans="1:9" x14ac:dyDescent="0.25">
      <c r="A9" t="s">
        <v>2</v>
      </c>
      <c r="C9" t="s">
        <v>25</v>
      </c>
    </row>
    <row r="10" spans="1:9" x14ac:dyDescent="0.25">
      <c r="C10" t="s">
        <v>26</v>
      </c>
    </row>
    <row r="11" spans="1:9" x14ac:dyDescent="0.25">
      <c r="C11" t="s">
        <v>27</v>
      </c>
      <c r="E11">
        <f>5.5046*3.97</f>
        <v>21.853262000000001</v>
      </c>
      <c r="F11" t="s">
        <v>28</v>
      </c>
    </row>
    <row r="12" spans="1:9" x14ac:dyDescent="0.25">
      <c r="C12" t="s">
        <v>29</v>
      </c>
    </row>
    <row r="13" spans="1:9" x14ac:dyDescent="0.25">
      <c r="C13" t="s">
        <v>30</v>
      </c>
      <c r="E13">
        <f>12000/21.85326</f>
        <v>549.11715689100856</v>
      </c>
      <c r="F13" t="s">
        <v>31</v>
      </c>
    </row>
    <row r="15" spans="1:9" x14ac:dyDescent="0.25">
      <c r="C15" t="s">
        <v>32</v>
      </c>
    </row>
    <row r="16" spans="1:9" x14ac:dyDescent="0.25">
      <c r="C16" t="s">
        <v>33</v>
      </c>
      <c r="F16">
        <v>2</v>
      </c>
      <c r="G16" t="s">
        <v>34</v>
      </c>
    </row>
    <row r="18" spans="1:6" x14ac:dyDescent="0.25">
      <c r="A18" t="s">
        <v>40</v>
      </c>
      <c r="C18">
        <v>3412.14</v>
      </c>
      <c r="D18" t="s">
        <v>41</v>
      </c>
    </row>
    <row r="20" spans="1:6" x14ac:dyDescent="0.25">
      <c r="A20" s="7" t="s">
        <v>88</v>
      </c>
    </row>
    <row r="21" spans="1:6" x14ac:dyDescent="0.25">
      <c r="A21" t="s">
        <v>63</v>
      </c>
    </row>
    <row r="22" spans="1:6" x14ac:dyDescent="0.25">
      <c r="A22" t="s">
        <v>64</v>
      </c>
    </row>
    <row r="23" spans="1:6" x14ac:dyDescent="0.25">
      <c r="A23" t="s">
        <v>65</v>
      </c>
    </row>
    <row r="25" spans="1:6" x14ac:dyDescent="0.25">
      <c r="A25" t="s">
        <v>66</v>
      </c>
    </row>
    <row r="26" spans="1:6" x14ac:dyDescent="0.25">
      <c r="A26" t="s">
        <v>67</v>
      </c>
    </row>
    <row r="27" spans="1:6" x14ac:dyDescent="0.25">
      <c r="A27" t="s">
        <v>39</v>
      </c>
      <c r="B27" t="s">
        <v>68</v>
      </c>
    </row>
    <row r="28" spans="1:6" x14ac:dyDescent="0.25">
      <c r="B28" t="s">
        <v>69</v>
      </c>
    </row>
    <row r="29" spans="1:6" x14ac:dyDescent="0.25">
      <c r="B29" t="s">
        <v>70</v>
      </c>
    </row>
    <row r="31" spans="1:6" ht="14.4" x14ac:dyDescent="0.3">
      <c r="A31" s="13" t="s">
        <v>71</v>
      </c>
      <c r="B31" s="13"/>
      <c r="C31" s="13"/>
      <c r="D31" s="13"/>
      <c r="E31" s="13"/>
      <c r="F31" s="13"/>
    </row>
    <row r="33" spans="1:6" x14ac:dyDescent="0.25">
      <c r="A33" t="s">
        <v>72</v>
      </c>
    </row>
    <row r="34" spans="1:6" x14ac:dyDescent="0.25">
      <c r="A34" t="s">
        <v>73</v>
      </c>
    </row>
    <row r="35" spans="1:6" ht="14.4" x14ac:dyDescent="0.3">
      <c r="A35" s="13" t="s">
        <v>74</v>
      </c>
      <c r="B35" s="13"/>
      <c r="C35" s="13"/>
      <c r="D35" s="13"/>
      <c r="E35" s="13"/>
    </row>
    <row r="36" spans="1:6" x14ac:dyDescent="0.25">
      <c r="A36" t="s">
        <v>75</v>
      </c>
    </row>
    <row r="38" spans="1:6" ht="14.4" x14ac:dyDescent="0.3">
      <c r="A38" s="13" t="s">
        <v>76</v>
      </c>
      <c r="B38" s="13"/>
      <c r="C38" s="13"/>
      <c r="D38" s="13"/>
      <c r="E38" s="13"/>
      <c r="F38" s="13"/>
    </row>
    <row r="39" spans="1:6" x14ac:dyDescent="0.25">
      <c r="A39" t="s">
        <v>77</v>
      </c>
    </row>
    <row r="41" spans="1:6" x14ac:dyDescent="0.25">
      <c r="A41" t="s">
        <v>78</v>
      </c>
    </row>
    <row r="42" spans="1:6" x14ac:dyDescent="0.25">
      <c r="A42" t="s">
        <v>79</v>
      </c>
    </row>
    <row r="43" spans="1:6" x14ac:dyDescent="0.25">
      <c r="A43" t="s">
        <v>80</v>
      </c>
    </row>
    <row r="44" spans="1:6" x14ac:dyDescent="0.25">
      <c r="A44" t="s">
        <v>81</v>
      </c>
    </row>
    <row r="46" spans="1:6" x14ac:dyDescent="0.25">
      <c r="A46" t="s">
        <v>82</v>
      </c>
    </row>
    <row r="47" spans="1:6" x14ac:dyDescent="0.25">
      <c r="A47" t="s">
        <v>83</v>
      </c>
    </row>
    <row r="48" spans="1:6" x14ac:dyDescent="0.25">
      <c r="A48" t="s">
        <v>84</v>
      </c>
    </row>
    <row r="49" spans="1:8" x14ac:dyDescent="0.25">
      <c r="A49" t="s">
        <v>81</v>
      </c>
    </row>
    <row r="51" spans="1:8" x14ac:dyDescent="0.25">
      <c r="A51" t="s">
        <v>85</v>
      </c>
    </row>
    <row r="52" spans="1:8" x14ac:dyDescent="0.25">
      <c r="A52" t="s">
        <v>83</v>
      </c>
    </row>
    <row r="53" spans="1:8" ht="14.4" x14ac:dyDescent="0.3">
      <c r="A53" s="13" t="s">
        <v>86</v>
      </c>
      <c r="B53" s="13"/>
      <c r="C53" s="13"/>
      <c r="D53" s="13"/>
      <c r="E53" s="13"/>
      <c r="F53" s="13"/>
      <c r="G53" s="13"/>
      <c r="H53" s="13"/>
    </row>
    <row r="54" spans="1:8" x14ac:dyDescent="0.25">
      <c r="A54" t="s">
        <v>81</v>
      </c>
    </row>
    <row r="55" spans="1:8" ht="14.4" x14ac:dyDescent="0.3">
      <c r="A55" s="13" t="s">
        <v>87</v>
      </c>
      <c r="B55" s="13"/>
      <c r="C55" s="13"/>
      <c r="D55" s="13"/>
      <c r="E55" s="13"/>
      <c r="F55" s="13"/>
      <c r="G55" s="13"/>
    </row>
  </sheetData>
  <phoneticPr fontId="2" type="noConversion"/>
  <pageMargins left="0.75" right="0.75" top="1" bottom="1" header="0.5" footer="0.5"/>
  <pageSetup scale="93" orientation="landscape" r:id="rId1"/>
  <headerFooter alignWithMargins="0"/>
  <rowBreaks count="1" manualBreakCount="1">
    <brk id="1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9" sqref="B19"/>
    </sheetView>
  </sheetViews>
  <sheetFormatPr defaultRowHeight="13.2" x14ac:dyDescent="0.25"/>
  <sheetData>
    <row r="1" spans="1:2" x14ac:dyDescent="0.25">
      <c r="A1" t="s">
        <v>116</v>
      </c>
    </row>
    <row r="3" spans="1:2" x14ac:dyDescent="0.25">
      <c r="A3" t="s">
        <v>52</v>
      </c>
    </row>
    <row r="4" spans="1:2" x14ac:dyDescent="0.25">
      <c r="B4" t="s">
        <v>117</v>
      </c>
    </row>
    <row r="5" spans="1:2" x14ac:dyDescent="0.25">
      <c r="B5" t="s">
        <v>118</v>
      </c>
    </row>
    <row r="6" spans="1:2" x14ac:dyDescent="0.25">
      <c r="A6" t="s">
        <v>46</v>
      </c>
    </row>
    <row r="7" spans="1:2" x14ac:dyDescent="0.25">
      <c r="B7" t="s">
        <v>119</v>
      </c>
    </row>
    <row r="8" spans="1:2" x14ac:dyDescent="0.25">
      <c r="B8" t="s">
        <v>47</v>
      </c>
    </row>
    <row r="10" spans="1:2" x14ac:dyDescent="0.25">
      <c r="A10" t="s">
        <v>48</v>
      </c>
    </row>
    <row r="11" spans="1:2" x14ac:dyDescent="0.25">
      <c r="B11" t="s">
        <v>120</v>
      </c>
    </row>
    <row r="12" spans="1:2" x14ac:dyDescent="0.25">
      <c r="B12" t="s">
        <v>121</v>
      </c>
    </row>
    <row r="14" spans="1:2" x14ac:dyDescent="0.25">
      <c r="A14" t="s">
        <v>49</v>
      </c>
    </row>
    <row r="15" spans="1:2" x14ac:dyDescent="0.25">
      <c r="A15" t="s">
        <v>39</v>
      </c>
      <c r="B15" t="s">
        <v>50</v>
      </c>
    </row>
    <row r="16" spans="1:2" x14ac:dyDescent="0.25">
      <c r="B16" t="s">
        <v>51</v>
      </c>
    </row>
    <row r="18" spans="1:2" x14ac:dyDescent="0.25">
      <c r="A18" t="s">
        <v>122</v>
      </c>
    </row>
    <row r="19" spans="1:2" x14ac:dyDescent="0.25">
      <c r="B19" t="s">
        <v>123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40MM kg Facility</vt:lpstr>
      <vt:lpstr>Utility Data</vt:lpstr>
      <vt:lpstr>Notes &amp; Quallifications</vt:lpstr>
      <vt:lpstr>'40MM kg Facility'!Print_Area</vt:lpstr>
      <vt:lpstr>'Utility Data'!Print_Area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McAloon</dc:creator>
  <cp:lastModifiedBy>Winnie Yee</cp:lastModifiedBy>
  <cp:lastPrinted>2012-03-13T17:12:28Z</cp:lastPrinted>
  <dcterms:created xsi:type="dcterms:W3CDTF">2008-06-24T16:51:01Z</dcterms:created>
  <dcterms:modified xsi:type="dcterms:W3CDTF">2013-05-06T20:48:45Z</dcterms:modified>
</cp:coreProperties>
</file>